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customXml/item1.xml" ContentType="application/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2.xml" ContentType="application/xml"/>
  <Override PartName="/customXml/item3.xml" ContentType="application/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805"/>
  </bookViews>
  <sheets>
    <sheet name="Sheet1" sheetId="1" r:id="rId1"/>
    <sheet name="Sheet2" sheetId="2" r:id="rId2"/>
  </sheets>
  <externalReferences>
    <externalReference r:id="rId3"/>
    <externalReference r:id="rId4"/>
    <externalReference r:id="rId5"/>
  </externalReferences>
  <definedNames>
    <definedName name="_xlnm.Print_Area" localSheetId="0">Sheet1!$A$1:$I$43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C42" i="1" l="1"/>
  <c r="H31" i="1" l="1"/>
  <c r="H35" i="1"/>
  <c r="H36" i="1"/>
  <c r="H16" i="1"/>
  <c r="H17" i="1"/>
  <c r="H15" i="1"/>
  <c r="H13" i="1"/>
  <c r="H21" i="1" s="1"/>
  <c r="H6" i="1"/>
  <c r="H7" i="1"/>
  <c r="H8" i="1"/>
  <c r="H9" i="1"/>
  <c r="H10" i="1"/>
  <c r="H11" i="1"/>
  <c r="H12" i="1"/>
  <c r="H5" i="1"/>
  <c r="E23" i="2"/>
  <c r="D23" i="2"/>
  <c r="C23" i="2"/>
  <c r="E13" i="2"/>
  <c r="D13" i="2"/>
  <c r="C13" i="2"/>
  <c r="G33" i="1"/>
  <c r="H33" i="1" s="1"/>
  <c r="G32" i="1"/>
  <c r="H32" i="1" s="1"/>
  <c r="G29" i="1"/>
  <c r="H29" i="1" s="1"/>
  <c r="G28" i="1"/>
  <c r="G46" i="1" s="1"/>
  <c r="G23" i="1"/>
  <c r="G13" i="1"/>
  <c r="D36" i="2"/>
  <c r="D32" i="2"/>
  <c r="D28" i="2"/>
  <c r="C36" i="2"/>
  <c r="C32" i="2"/>
  <c r="C28" i="2"/>
  <c r="E31" i="2"/>
  <c r="E15" i="2"/>
  <c r="E32" i="2"/>
  <c r="D16" i="2"/>
  <c r="C16" i="2"/>
  <c r="E16" i="2"/>
  <c r="D33" i="2"/>
  <c r="C33" i="2"/>
  <c r="E35" i="2"/>
  <c r="C17" i="2"/>
  <c r="D15" i="2"/>
  <c r="D35" i="2"/>
  <c r="D31" i="2"/>
  <c r="E17" i="2"/>
  <c r="C35" i="2"/>
  <c r="C31" i="2"/>
  <c r="D17" i="2"/>
  <c r="E29" i="2"/>
  <c r="E36" i="2"/>
  <c r="E30" i="2"/>
  <c r="D34" i="2"/>
  <c r="D30" i="2"/>
  <c r="C34" i="2"/>
  <c r="C30" i="2"/>
  <c r="E34" i="2"/>
  <c r="E28" i="2"/>
  <c r="D29" i="2"/>
  <c r="C15" i="2"/>
  <c r="C29" i="2"/>
  <c r="E33" i="2"/>
  <c r="G30" i="1" l="1"/>
  <c r="H30" i="1" s="1"/>
  <c r="G34" i="1"/>
  <c r="H34" i="1" s="1"/>
  <c r="H28" i="1"/>
  <c r="H38" i="1" s="1"/>
  <c r="H40" i="1" s="1"/>
  <c r="H42" i="1" s="1"/>
  <c r="E46" i="2"/>
  <c r="E38" i="2"/>
  <c r="E51" i="2" s="1"/>
  <c r="E53" i="2" s="1"/>
  <c r="C46" i="2"/>
  <c r="C38" i="2"/>
  <c r="C51" i="2" s="1"/>
  <c r="C53" i="2" s="1"/>
  <c r="D38" i="2"/>
  <c r="D51" i="2" s="1"/>
  <c r="D53" i="2" s="1"/>
  <c r="D46" i="2"/>
  <c r="E21" i="2"/>
  <c r="C21" i="2"/>
  <c r="D21" i="2"/>
  <c r="G38" i="1"/>
  <c r="E23" i="1"/>
  <c r="D23" i="1"/>
  <c r="C23" i="1"/>
  <c r="E13" i="1"/>
  <c r="D13" i="1"/>
  <c r="C13" i="1"/>
  <c r="E35" i="1"/>
  <c r="D35" i="1"/>
  <c r="D34" i="1"/>
  <c r="D30" i="1"/>
  <c r="E28" i="1"/>
  <c r="D32" i="1"/>
  <c r="E34" i="1"/>
  <c r="E15" i="1"/>
  <c r="E36" i="1"/>
  <c r="E30" i="1"/>
  <c r="D31" i="1"/>
  <c r="D15" i="1"/>
  <c r="E17" i="1"/>
  <c r="D17" i="1"/>
  <c r="D29" i="1"/>
  <c r="D28" i="1"/>
  <c r="E32" i="1"/>
  <c r="D16" i="1"/>
  <c r="E33" i="1"/>
  <c r="E16" i="1"/>
  <c r="D36" i="1"/>
  <c r="E31" i="1"/>
  <c r="D33" i="1"/>
  <c r="E29" i="1"/>
  <c r="B31" i="2" l="1"/>
  <c r="B35" i="2"/>
  <c r="E40" i="2"/>
  <c r="E42" i="2" s="1"/>
  <c r="E25" i="2"/>
  <c r="B34" i="2"/>
  <c r="B30" i="2"/>
  <c r="D25" i="2"/>
  <c r="D40" i="2"/>
  <c r="D42" i="2" s="1"/>
  <c r="B33" i="2"/>
  <c r="B29" i="2"/>
  <c r="C25" i="2"/>
  <c r="C40" i="2"/>
  <c r="C42" i="2" s="1"/>
  <c r="B36" i="2"/>
  <c r="B32" i="2"/>
  <c r="B28" i="2"/>
  <c r="B38" i="2" s="1"/>
  <c r="G15" i="1"/>
  <c r="G16" i="1"/>
  <c r="G17" i="1"/>
  <c r="E46" i="1"/>
  <c r="E38" i="1"/>
  <c r="C38" i="1"/>
  <c r="B29" i="1" s="1"/>
  <c r="C46" i="1"/>
  <c r="D38" i="1"/>
  <c r="D46" i="1"/>
  <c r="E21" i="1"/>
  <c r="C21" i="1"/>
  <c r="F32" i="1" s="1"/>
  <c r="D21" i="1"/>
  <c r="F33" i="1" l="1"/>
  <c r="G21" i="1"/>
  <c r="F30" i="1"/>
  <c r="B32" i="1"/>
  <c r="B33" i="1"/>
  <c r="B30" i="1"/>
  <c r="B35" i="1"/>
  <c r="C40" i="1"/>
  <c r="C25" i="1"/>
  <c r="B34" i="1"/>
  <c r="B36" i="1"/>
  <c r="B28" i="1"/>
  <c r="B31" i="1"/>
  <c r="D25" i="1"/>
  <c r="D40" i="1"/>
  <c r="D42" i="1" s="1"/>
  <c r="F35" i="1"/>
  <c r="E40" i="1"/>
  <c r="E42" i="1" s="1"/>
  <c r="E25" i="1"/>
  <c r="F29" i="1"/>
  <c r="F34" i="1"/>
  <c r="F36" i="1"/>
  <c r="F28" i="1"/>
  <c r="F31" i="1"/>
  <c r="G40" i="1" l="1"/>
  <c r="G42" i="1" s="1"/>
  <c r="G25" i="1"/>
  <c r="F38" i="1"/>
  <c r="B38" i="1"/>
</calcChain>
</file>

<file path=xl/sharedStrings.xml><?xml version="1.0" encoding="utf-8"?>
<sst xmlns="http://schemas.openxmlformats.org/spreadsheetml/2006/main" count="94" uniqueCount="52">
  <si>
    <t>Budget Summary - 2020/21</t>
  </si>
  <si>
    <t>Expenditure on allocations and grant programmes</t>
  </si>
  <si>
    <t>Description</t>
  </si>
  <si>
    <t>2020/21</t>
  </si>
  <si>
    <t>2021/22</t>
  </si>
  <si>
    <t>2022/23</t>
  </si>
  <si>
    <t>Equitable Share</t>
  </si>
  <si>
    <t>RSC Levies Replacement</t>
  </si>
  <si>
    <t>Councillor Remuneration and Ward Committees</t>
  </si>
  <si>
    <t>Financial Management Grant</t>
  </si>
  <si>
    <t>Rural Roads Asset Management Systems Grant</t>
  </si>
  <si>
    <t>Expanded Public Works Programme Integrated Grant</t>
  </si>
  <si>
    <t>Municipal Systems Improvement Grant</t>
  </si>
  <si>
    <t>Total Grants - Per DORA 2019/20</t>
  </si>
  <si>
    <t>Investment Income</t>
  </si>
  <si>
    <t>Service Charges - Abattoir Income</t>
  </si>
  <si>
    <t>Other Income</t>
  </si>
  <si>
    <t>LEDET Biosphere Grant</t>
  </si>
  <si>
    <t>MWIG - 5% Commission ( To be Calculated )</t>
  </si>
  <si>
    <t>Total Operating Revenue</t>
  </si>
  <si>
    <t>Revenue per TB</t>
  </si>
  <si>
    <t>Difference</t>
  </si>
  <si>
    <t>Employee Costs</t>
  </si>
  <si>
    <t>Councillors Remuneration</t>
  </si>
  <si>
    <t>General Expenses</t>
  </si>
  <si>
    <t>General Expenses - Councillors</t>
  </si>
  <si>
    <t>Traditional Leaders - Remuneration</t>
  </si>
  <si>
    <t>Contracted Services - Fire Fighting</t>
  </si>
  <si>
    <t>Accounting Costs - Depreciation</t>
  </si>
  <si>
    <t>Accounting Costs - Employee Costs</t>
  </si>
  <si>
    <t>Project Expenditure</t>
  </si>
  <si>
    <t>Total Operating Costs</t>
  </si>
  <si>
    <t>Surplus/(Deficit)</t>
  </si>
  <si>
    <t>Surplus/(Deficit) - Excl Accounting Costs</t>
  </si>
  <si>
    <t>Salaries</t>
  </si>
  <si>
    <t>Draft budget tabled 2020/21</t>
  </si>
  <si>
    <t>Final budget tabled 2020/21</t>
  </si>
  <si>
    <t>Disaster relief fund</t>
  </si>
  <si>
    <t xml:space="preserve">Contracted Services </t>
  </si>
  <si>
    <t>Disaster Relief Fund</t>
  </si>
  <si>
    <t>Sum of Final Budget 2020/21</t>
  </si>
  <si>
    <t>Sum of Final Budget 2021/22</t>
  </si>
  <si>
    <t>Sum of Final  Budget 2022/23</t>
  </si>
  <si>
    <t xml:space="preserve">Operating budget </t>
  </si>
  <si>
    <t xml:space="preserve">Capital Budget </t>
  </si>
  <si>
    <t>Comments</t>
  </si>
  <si>
    <t xml:space="preserve">The Grant received from NT in response to COVID-19 </t>
  </si>
  <si>
    <t>The adjustment were due to changes on operational allowance as well as new critical positions recommended by Management</t>
  </si>
  <si>
    <t>The difference between tabled and final budget proposed is due to additional budget provision to cater for COVID-19 expenditure</t>
  </si>
  <si>
    <t>The difference is due to reclassification of security services from General expenditure to Contracted services</t>
  </si>
  <si>
    <t xml:space="preserve">Budget Summary - Operating Budget Changes from tabled to final budget </t>
  </si>
  <si>
    <t>Annexure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</si>
</sst>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%"/>
    <numFmt numFmtId="167" formatCode="#,##0_ ;[Red]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/>
    <xf numFmtId="0" fontId="3" fillId="0" borderId="0" xfId="0" applyFont="1"/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5" fontId="3" fillId="2" borderId="0" xfId="3" applyNumberFormat="1" applyFont="1" applyFill="1"/>
    <xf numFmtId="165" fontId="3" fillId="2" borderId="0" xfId="0" applyNumberFormat="1" applyFont="1" applyFill="1"/>
    <xf numFmtId="165" fontId="3" fillId="0" borderId="0" xfId="0" applyNumberFormat="1" applyFont="1"/>
    <xf numFmtId="165" fontId="2" fillId="2" borderId="0" xfId="0" applyNumberFormat="1" applyFont="1" applyFill="1"/>
    <xf numFmtId="165" fontId="2" fillId="4" borderId="1" xfId="3" applyNumberFormat="1" applyFont="1" applyFill="1" applyBorder="1"/>
    <xf numFmtId="165" fontId="3" fillId="0" borderId="0" xfId="3" applyNumberFormat="1" applyFont="1"/>
    <xf numFmtId="43" fontId="3" fillId="0" borderId="0" xfId="0" applyNumberFormat="1" applyFont="1"/>
    <xf numFmtId="165" fontId="2" fillId="4" borderId="2" xfId="3" applyNumberFormat="1" applyFont="1" applyFill="1" applyBorder="1"/>
    <xf numFmtId="165" fontId="2" fillId="5" borderId="0" xfId="0" applyNumberFormat="1" applyFont="1" applyFill="1"/>
    <xf numFmtId="9" fontId="3" fillId="2" borderId="0" xfId="2" applyFont="1" applyFill="1"/>
    <xf numFmtId="9" fontId="3" fillId="0" borderId="0" xfId="2" applyFont="1"/>
    <xf numFmtId="164" fontId="3" fillId="0" borderId="0" xfId="1" applyFont="1"/>
    <xf numFmtId="9" fontId="2" fillId="4" borderId="1" xfId="2" applyFont="1" applyFill="1" applyBorder="1"/>
    <xf numFmtId="165" fontId="2" fillId="4" borderId="0" xfId="3" applyNumberFormat="1" applyFont="1" applyFill="1"/>
    <xf numFmtId="165" fontId="2" fillId="4" borderId="0" xfId="0" applyNumberFormat="1" applyFont="1" applyFill="1"/>
    <xf numFmtId="43" fontId="3" fillId="0" borderId="0" xfId="3" applyFont="1"/>
    <xf numFmtId="165" fontId="3" fillId="0" borderId="0" xfId="2" applyNumberFormat="1" applyFont="1"/>
    <xf numFmtId="43" fontId="3" fillId="0" borderId="0" xfId="3" applyNumberFormat="1" applyFont="1"/>
    <xf numFmtId="166" fontId="3" fillId="0" borderId="0" xfId="2" applyNumberFormat="1" applyFont="1"/>
    <xf numFmtId="0" fontId="2" fillId="3" borderId="0" xfId="0" applyFont="1" applyFill="1" applyAlignment="1">
      <alignment horizontal="center" wrapText="1"/>
    </xf>
    <xf numFmtId="165" fontId="5" fillId="6" borderId="0" xfId="3" applyNumberFormat="1" applyFont="1" applyFill="1" applyBorder="1"/>
    <xf numFmtId="0" fontId="5" fillId="6" borderId="0" xfId="0" applyFont="1" applyFill="1" applyBorder="1"/>
    <xf numFmtId="0" fontId="6" fillId="2" borderId="0" xfId="0" applyFont="1" applyFill="1"/>
    <xf numFmtId="0" fontId="7" fillId="2" borderId="0" xfId="0" applyFont="1" applyFill="1"/>
    <xf numFmtId="0" fontId="6" fillId="3" borderId="0" xfId="0" applyFont="1" applyFill="1" applyAlignment="1">
      <alignment horizontal="center"/>
    </xf>
    <xf numFmtId="165" fontId="7" fillId="2" borderId="0" xfId="3" applyNumberFormat="1" applyFont="1" applyFill="1"/>
    <xf numFmtId="165" fontId="6" fillId="2" borderId="0" xfId="0" applyNumberFormat="1" applyFont="1" applyFill="1"/>
    <xf numFmtId="165" fontId="6" fillId="4" borderId="1" xfId="3" applyNumberFormat="1" applyFont="1" applyFill="1" applyBorder="1"/>
    <xf numFmtId="165" fontId="6" fillId="4" borderId="2" xfId="3" applyNumberFormat="1" applyFont="1" applyFill="1" applyBorder="1"/>
    <xf numFmtId="165" fontId="7" fillId="0" borderId="0" xfId="3" applyNumberFormat="1" applyFont="1"/>
    <xf numFmtId="0" fontId="7" fillId="0" borderId="0" xfId="0" applyFont="1"/>
    <xf numFmtId="165" fontId="6" fillId="5" borderId="0" xfId="0" applyNumberFormat="1" applyFont="1" applyFill="1"/>
    <xf numFmtId="9" fontId="7" fillId="2" borderId="0" xfId="2" applyFont="1" applyFill="1"/>
    <xf numFmtId="9" fontId="6" fillId="4" borderId="1" xfId="2" applyFont="1" applyFill="1" applyBorder="1"/>
    <xf numFmtId="165" fontId="6" fillId="4" borderId="0" xfId="3" applyNumberFormat="1" applyFont="1" applyFill="1"/>
    <xf numFmtId="165" fontId="7" fillId="2" borderId="0" xfId="0" applyNumberFormat="1" applyFont="1" applyFill="1"/>
    <xf numFmtId="165" fontId="6" fillId="4" borderId="0" xfId="0" applyNumberFormat="1" applyFont="1" applyFill="1"/>
    <xf numFmtId="167" fontId="4" fillId="7" borderId="0" xfId="0" applyNumberFormat="1" applyFont="1" applyFill="1" applyBorder="1" applyAlignment="1">
      <alignment wrapText="1"/>
    </xf>
    <xf numFmtId="167" fontId="4" fillId="7" borderId="3" xfId="0" applyNumberFormat="1" applyFont="1" applyFill="1" applyBorder="1" applyAlignment="1">
      <alignment wrapText="1"/>
    </xf>
    <xf numFmtId="167" fontId="4" fillId="7" borderId="1" xfId="0" applyNumberFormat="1" applyFont="1" applyFill="1" applyBorder="1" applyAlignment="1">
      <alignment wrapText="1"/>
    </xf>
    <xf numFmtId="165" fontId="3" fillId="2" borderId="0" xfId="3" applyNumberFormat="1" applyFont="1" applyFill="1" applyAlignment="1">
      <alignment wrapText="1"/>
    </xf>
    <xf numFmtId="164" fontId="5" fillId="6" borderId="0" xfId="3" applyNumberFormat="1" applyFont="1" applyFill="1" applyBorder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8" fillId="0" borderId="4" xfId="0" applyFont="1" applyBorder="1" applyAlignment="1">
      <alignment horizontal="center" vertical="center"/>
    </xf>
  </cellXfs>
  <cellStyles count="4">
    <cellStyle name="Comma" xfId="1" builtinId="3"/>
    <cellStyle name="Comma 2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muelelwa\Desktop\Budget%202021\Draft%20budget%20template%202021%20-%20Top%20Management%20-%20Mayor%20-%20FP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Budget%201617\Version%202.8%20Budget%20-%202016.17\Trial%20Balance%201%20-%20February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devaal\AppData\Local\Microsoft\Windows\INetCache\Content.Outlook\GU1LAUPW\Final%20budget%20template%202021%2025%20Jun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8"/>
      <sheetName val="Sheet9"/>
      <sheetName val="Sheet10"/>
      <sheetName val="Sheet11"/>
      <sheetName val="Sheet12"/>
      <sheetName val="Sheet13"/>
      <sheetName val="ALL "/>
      <sheetName val="Delegation &amp; S&amp; T"/>
      <sheetName val="Budget Summary"/>
      <sheetName val="Departmental"/>
      <sheetName val="Sheet4"/>
      <sheetName val="Sheet6"/>
      <sheetName val="Budget Summary new"/>
      <sheetName val="Performance Bonus"/>
      <sheetName val="Sheet5"/>
      <sheetName val="Sheet7"/>
      <sheetName val="Budget 2020"/>
      <sheetName val="Sheet3"/>
      <sheetName val="Vacancies"/>
      <sheetName val="Salaries"/>
      <sheetName val="Available Cash"/>
      <sheetName val="Abattoir Tariffs"/>
      <sheetName val="Sheet2"/>
      <sheetName val="Sheet1"/>
      <sheetName val="Dikala"/>
      <sheetName val="Konica 1"/>
      <sheetName val="Konica 2"/>
      <sheetName val="Konica"/>
      <sheetName val="Decscrip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3" t="str">
            <v>Row Labels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quiry_0001"/>
      <sheetName val="IS Summary"/>
      <sheetName val="IS Summary (2)"/>
      <sheetName val="Consol TB"/>
      <sheetName val="Munsoft Upload"/>
      <sheetName val="Projects"/>
      <sheetName val="BTO"/>
      <sheetName val="OMM"/>
      <sheetName val="CSS"/>
      <sheetName val="PED"/>
      <sheetName val="ID"/>
      <sheetName val="OEM"/>
      <sheetName val="SDSC"/>
      <sheetName val="DISASTER"/>
      <sheetName val="MUNICIPAL HEALTH"/>
      <sheetName val="ABATTOIR"/>
      <sheetName val="Weda Budget"/>
      <sheetName val="CPI"/>
    </sheetNames>
    <sheetDataSet>
      <sheetData sheetId="0" refreshError="1"/>
      <sheetData sheetId="1" refreshError="1"/>
      <sheetData sheetId="2" refreshError="1"/>
      <sheetData sheetId="3" refreshError="1">
        <row r="1063">
          <cell r="I1063">
            <v>-130320900</v>
          </cell>
          <cell r="J1063">
            <v>-134459303.80000001</v>
          </cell>
          <cell r="K1063">
            <v>-137950310.72420001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8"/>
      <sheetName val="Sheet9"/>
      <sheetName val="Sheet10"/>
      <sheetName val="Sheet11"/>
      <sheetName val="Sheet12"/>
      <sheetName val="Sheet13"/>
      <sheetName val="ALL "/>
      <sheetName val="Delegation &amp; S&amp; T"/>
      <sheetName val="Budget Summary"/>
      <sheetName val="Departmental"/>
      <sheetName val="Sheet4"/>
      <sheetName val="Sheet14"/>
      <sheetName val="Sheet6"/>
      <sheetName val="Budget Summary new"/>
      <sheetName val="Available Cash"/>
      <sheetName val="Sheet17"/>
      <sheetName val="Performance Bonus"/>
      <sheetName val="Sheet5"/>
      <sheetName val="Sheet7"/>
      <sheetName val="Sheet16"/>
      <sheetName val="Chris Pivot"/>
      <sheetName val="Budget 2020"/>
      <sheetName val="Sheet3"/>
      <sheetName val="revised vacancies"/>
      <sheetName val="Vacancies"/>
      <sheetName val="Salaries"/>
      <sheetName val="Abattoir Tariffs"/>
      <sheetName val="Sheet2"/>
      <sheetName val="Sheet1"/>
      <sheetName val="Dikala"/>
      <sheetName val="Konica 1"/>
      <sheetName val="Konica 2"/>
      <sheetName val="Konica"/>
      <sheetName val="Decscrip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">
          <cell r="A3" t="str">
            <v>Row Labels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view="pageBreakPreview" zoomScale="60" zoomScaleNormal="100" workbookViewId="0">
      <selection activeCell="I6" sqref="I6"/>
    </sheetView>
  </sheetViews>
  <sheetFormatPr defaultColWidth="8.85546875" defaultRowHeight="14.25" x14ac:dyDescent="0.2"/>
  <cols>
    <col min="1" max="1" width="48.7109375" style="4" bestFit="1" customWidth="1"/>
    <col min="2" max="2" width="7.7109375" style="4" hidden="1" customWidth="1"/>
    <col min="3" max="3" width="19.42578125" style="4" customWidth="1"/>
    <col min="4" max="4" width="17.85546875" style="4" hidden="1" customWidth="1"/>
    <col min="5" max="5" width="16.28515625" style="4" hidden="1" customWidth="1"/>
    <col min="6" max="6" width="7.7109375" style="4" hidden="1" customWidth="1"/>
    <col min="7" max="7" width="19.42578125" style="4" customWidth="1"/>
    <col min="8" max="8" width="15.7109375" style="4" bestFit="1" customWidth="1"/>
    <col min="9" max="9" width="56.28515625" style="4" customWidth="1"/>
    <col min="10" max="10" width="13.7109375" style="4" bestFit="1" customWidth="1"/>
    <col min="11" max="11" width="13.7109375" style="4" hidden="1" customWidth="1"/>
    <col min="12" max="12" width="12.42578125" style="4" hidden="1" customWidth="1"/>
    <col min="13" max="16384" width="8.85546875" style="4"/>
  </cols>
  <sheetData>
    <row r="1" spans="1:12" ht="34.5" customHeight="1" x14ac:dyDescent="0.2">
      <c r="I1" s="54" t="s">
        <v>51</v>
      </c>
    </row>
    <row r="2" spans="1:12" s="2" customFormat="1" ht="21.6" customHeight="1" x14ac:dyDescent="0.25">
      <c r="A2" s="52" t="s">
        <v>50</v>
      </c>
      <c r="B2" s="52"/>
      <c r="C2" s="52"/>
      <c r="D2" s="52"/>
      <c r="E2" s="52"/>
      <c r="F2" s="52"/>
      <c r="G2" s="52"/>
      <c r="H2" s="52"/>
      <c r="I2" s="51"/>
    </row>
    <row r="3" spans="1:12" ht="13.9" hidden="1" customHeight="1" x14ac:dyDescent="0.25">
      <c r="A3" s="50"/>
      <c r="B3" s="50"/>
      <c r="C3" s="50"/>
      <c r="D3" s="50"/>
      <c r="E3" s="50"/>
      <c r="F3" s="50"/>
      <c r="G3" s="50"/>
      <c r="H3" s="50"/>
      <c r="I3" s="50"/>
    </row>
    <row r="4" spans="1:12" s="7" customFormat="1" ht="27.6" x14ac:dyDescent="0.25">
      <c r="A4" s="5" t="s">
        <v>2</v>
      </c>
      <c r="B4" s="5"/>
      <c r="C4" s="27" t="s">
        <v>35</v>
      </c>
      <c r="D4" s="5" t="s">
        <v>4</v>
      </c>
      <c r="E4" s="5" t="s">
        <v>5</v>
      </c>
      <c r="F4" s="6"/>
      <c r="G4" s="27" t="s">
        <v>36</v>
      </c>
      <c r="H4" s="27" t="s">
        <v>21</v>
      </c>
      <c r="I4" s="27" t="s">
        <v>45</v>
      </c>
    </row>
    <row r="5" spans="1:12" ht="13.9" x14ac:dyDescent="0.25">
      <c r="A5" s="3" t="s">
        <v>6</v>
      </c>
      <c r="B5" s="3"/>
      <c r="C5" s="8">
        <v>39964000</v>
      </c>
      <c r="D5" s="8">
        <v>42910000</v>
      </c>
      <c r="E5" s="8">
        <v>45457000</v>
      </c>
      <c r="F5" s="9"/>
      <c r="G5" s="8">
        <v>39964000</v>
      </c>
      <c r="H5" s="8">
        <f>C5-G5</f>
        <v>0</v>
      </c>
      <c r="I5" s="8"/>
    </row>
    <row r="6" spans="1:12" ht="13.9" x14ac:dyDescent="0.25">
      <c r="A6" s="3" t="s">
        <v>7</v>
      </c>
      <c r="B6" s="3"/>
      <c r="C6" s="8">
        <v>88678000</v>
      </c>
      <c r="D6" s="8">
        <v>91165000</v>
      </c>
      <c r="E6" s="8">
        <v>93367000</v>
      </c>
      <c r="F6" s="9"/>
      <c r="G6" s="8">
        <v>88678000</v>
      </c>
      <c r="H6" s="8">
        <f t="shared" ref="H6:H12" si="0">C6-G6</f>
        <v>0</v>
      </c>
      <c r="I6" s="8"/>
    </row>
    <row r="7" spans="1:12" ht="13.9" x14ac:dyDescent="0.25">
      <c r="A7" s="3" t="s">
        <v>8</v>
      </c>
      <c r="B7" s="3"/>
      <c r="C7" s="8">
        <v>6418000</v>
      </c>
      <c r="D7" s="8">
        <v>6726000</v>
      </c>
      <c r="E7" s="8">
        <v>7049000</v>
      </c>
      <c r="F7" s="9"/>
      <c r="G7" s="8">
        <v>6418000</v>
      </c>
      <c r="H7" s="8">
        <f t="shared" si="0"/>
        <v>0</v>
      </c>
      <c r="I7" s="8"/>
    </row>
    <row r="8" spans="1:12" ht="13.9" x14ac:dyDescent="0.25">
      <c r="A8" s="3" t="s">
        <v>9</v>
      </c>
      <c r="B8" s="3"/>
      <c r="C8" s="8">
        <v>1000000</v>
      </c>
      <c r="D8" s="8">
        <v>1000000</v>
      </c>
      <c r="E8" s="8">
        <v>1000000</v>
      </c>
      <c r="F8" s="3"/>
      <c r="G8" s="8">
        <v>1000000</v>
      </c>
      <c r="H8" s="8">
        <f t="shared" si="0"/>
        <v>0</v>
      </c>
      <c r="I8" s="8"/>
    </row>
    <row r="9" spans="1:12" ht="13.9" x14ac:dyDescent="0.25">
      <c r="A9" s="3" t="s">
        <v>10</v>
      </c>
      <c r="B9" s="3"/>
      <c r="C9" s="8">
        <v>2151000</v>
      </c>
      <c r="D9" s="8">
        <v>2269000</v>
      </c>
      <c r="E9" s="8">
        <v>2400000</v>
      </c>
      <c r="F9" s="3"/>
      <c r="G9" s="8">
        <v>2151000</v>
      </c>
      <c r="H9" s="8">
        <f t="shared" si="0"/>
        <v>0</v>
      </c>
      <c r="I9" s="8"/>
    </row>
    <row r="10" spans="1:12" ht="13.9" x14ac:dyDescent="0.25">
      <c r="A10" s="3" t="s">
        <v>11</v>
      </c>
      <c r="B10" s="3"/>
      <c r="C10" s="8">
        <v>1000000</v>
      </c>
      <c r="D10" s="8">
        <v>0</v>
      </c>
      <c r="E10" s="8">
        <v>0</v>
      </c>
      <c r="F10" s="3"/>
      <c r="G10" s="8">
        <v>1000000</v>
      </c>
      <c r="H10" s="8">
        <f t="shared" si="0"/>
        <v>0</v>
      </c>
      <c r="I10" s="8"/>
    </row>
    <row r="11" spans="1:12" ht="13.9" x14ac:dyDescent="0.25">
      <c r="A11" s="3" t="s">
        <v>12</v>
      </c>
      <c r="B11" s="3"/>
      <c r="C11" s="8">
        <v>300000</v>
      </c>
      <c r="D11" s="8">
        <v>500000</v>
      </c>
      <c r="E11" s="8">
        <v>0</v>
      </c>
      <c r="F11" s="3"/>
      <c r="G11" s="8">
        <v>300000</v>
      </c>
      <c r="H11" s="8">
        <f t="shared" si="0"/>
        <v>0</v>
      </c>
      <c r="I11" s="8"/>
    </row>
    <row r="12" spans="1:12" ht="13.9" x14ac:dyDescent="0.25">
      <c r="A12" s="3" t="s">
        <v>37</v>
      </c>
      <c r="B12" s="3"/>
      <c r="C12" s="8">
        <v>0</v>
      </c>
      <c r="D12" s="8"/>
      <c r="E12" s="8"/>
      <c r="F12" s="3"/>
      <c r="G12" s="8">
        <v>1192000</v>
      </c>
      <c r="H12" s="8">
        <f t="shared" si="0"/>
        <v>-1192000</v>
      </c>
      <c r="I12" s="8" t="s">
        <v>46</v>
      </c>
      <c r="K12" s="29" t="s">
        <v>22</v>
      </c>
      <c r="L12" s="28">
        <v>118487139.55499999</v>
      </c>
    </row>
    <row r="13" spans="1:12" s="2" customFormat="1" ht="14.45" thickBot="1" x14ac:dyDescent="0.3">
      <c r="A13" s="1" t="s">
        <v>13</v>
      </c>
      <c r="B13" s="11"/>
      <c r="C13" s="12">
        <f>SUM(C5:C12)</f>
        <v>139511000</v>
      </c>
      <c r="D13" s="12">
        <f>SUM(D5:D12)</f>
        <v>144570000</v>
      </c>
      <c r="E13" s="12">
        <f>SUM(E5:E12)</f>
        <v>149273000</v>
      </c>
      <c r="F13" s="1"/>
      <c r="G13" s="12">
        <f>SUM(G5:G12)</f>
        <v>140703000</v>
      </c>
      <c r="H13" s="12">
        <f>SUM(H5:H12)</f>
        <v>-1192000</v>
      </c>
      <c r="I13" s="12"/>
      <c r="K13" s="29" t="s">
        <v>23</v>
      </c>
      <c r="L13" s="28">
        <v>9125682.9600000009</v>
      </c>
    </row>
    <row r="14" spans="1:12" ht="14.45" thickTop="1" x14ac:dyDescent="0.25">
      <c r="A14" s="3"/>
      <c r="B14" s="3"/>
      <c r="C14" s="8"/>
      <c r="D14" s="8"/>
      <c r="E14" s="8"/>
      <c r="F14" s="3"/>
      <c r="G14" s="8"/>
      <c r="H14" s="8"/>
      <c r="I14" s="8"/>
      <c r="K14" s="29" t="s">
        <v>24</v>
      </c>
      <c r="L14" s="28">
        <v>28131049.726779819</v>
      </c>
    </row>
    <row r="15" spans="1:12" ht="13.9" x14ac:dyDescent="0.25">
      <c r="A15" s="3" t="s">
        <v>14</v>
      </c>
      <c r="B15" s="3"/>
      <c r="C15" s="8">
        <v>8799744</v>
      </c>
      <c r="D15" s="8" t="e">
        <f>-GETPIVOTDATA("Sum of Draft Budget 2021/22",[1]Sheet6!$A$3,"I/s Category","01 Income","Item Description ","02 Investment Income")</f>
        <v>#REF!</v>
      </c>
      <c r="E15" s="8" t="e">
        <f>-GETPIVOTDATA("Sum of Draft Budget 2022/23",[1]Sheet6!$A$3,"I/s Category","01 Income","Item Description ","02 Investment Income")</f>
        <v>#REF!</v>
      </c>
      <c r="F15" s="8"/>
      <c r="G15" s="8">
        <f>C15</f>
        <v>8799744</v>
      </c>
      <c r="H15" s="8">
        <f>C15-G15</f>
        <v>0</v>
      </c>
      <c r="I15" s="8"/>
      <c r="J15" s="13"/>
      <c r="K15" s="29" t="s">
        <v>25</v>
      </c>
      <c r="L15" s="28">
        <v>2297500</v>
      </c>
    </row>
    <row r="16" spans="1:12" ht="13.9" x14ac:dyDescent="0.25">
      <c r="A16" s="3" t="s">
        <v>15</v>
      </c>
      <c r="B16" s="3"/>
      <c r="C16" s="8">
        <v>864970</v>
      </c>
      <c r="D16" s="8" t="e">
        <f>-GETPIVOTDATA("Sum of Draft Budget 2021/22",[1]Sheet6!$A$3,"I/s Category","01 Income","Item Description ","03 Service Charges ")</f>
        <v>#REF!</v>
      </c>
      <c r="E16" s="8" t="e">
        <f>-GETPIVOTDATA("Sum of Draft Budget 2022/23",[1]Sheet6!$A$3,"I/s Category","01 Income","Item Description ","03 Service Charges ")</f>
        <v>#REF!</v>
      </c>
      <c r="F16" s="8"/>
      <c r="G16" s="8">
        <f>C16</f>
        <v>864970</v>
      </c>
      <c r="H16" s="8">
        <f t="shared" ref="H16:H17" si="1">C16-G16</f>
        <v>0</v>
      </c>
      <c r="I16" s="8"/>
      <c r="J16" s="13"/>
      <c r="K16" s="29" t="s">
        <v>26</v>
      </c>
      <c r="L16" s="28">
        <v>107174.205</v>
      </c>
    </row>
    <row r="17" spans="1:12" ht="13.9" x14ac:dyDescent="0.25">
      <c r="A17" s="3" t="s">
        <v>16</v>
      </c>
      <c r="B17" s="3"/>
      <c r="C17" s="8">
        <v>200665</v>
      </c>
      <c r="D17" s="8" t="e">
        <f>-GETPIVOTDATA("Sum of Draft Budget 2021/22",[1]Sheet6!$A$3,"I/s Category","01 Income","Item Description ","04 Other Income")</f>
        <v>#REF!</v>
      </c>
      <c r="E17" s="8" t="e">
        <f>-GETPIVOTDATA("Sum of Draft Budget 2022/23",[1]Sheet6!$A$3,"I/s Category","01 Income","Item Description ","04 Other Income")</f>
        <v>#REF!</v>
      </c>
      <c r="F17" s="8"/>
      <c r="G17" s="8">
        <f>C17</f>
        <v>200665</v>
      </c>
      <c r="H17" s="8">
        <f t="shared" si="1"/>
        <v>0</v>
      </c>
      <c r="I17" s="8"/>
      <c r="J17" s="13"/>
      <c r="K17" s="29" t="s">
        <v>27</v>
      </c>
      <c r="L17" s="28">
        <v>8279717.517599999</v>
      </c>
    </row>
    <row r="18" spans="1:12" ht="13.9" hidden="1" x14ac:dyDescent="0.25">
      <c r="A18" s="3" t="s">
        <v>17</v>
      </c>
      <c r="B18" s="3"/>
      <c r="C18" s="8">
        <v>0</v>
      </c>
      <c r="D18" s="8">
        <v>0</v>
      </c>
      <c r="E18" s="8">
        <v>0</v>
      </c>
      <c r="F18" s="9"/>
      <c r="G18" s="8">
        <v>0</v>
      </c>
      <c r="H18" s="8"/>
      <c r="I18" s="8"/>
      <c r="J18" s="10"/>
      <c r="K18" s="29" t="s">
        <v>28</v>
      </c>
      <c r="L18" s="28">
        <v>8627714.9425712191</v>
      </c>
    </row>
    <row r="19" spans="1:12" ht="13.9" hidden="1" x14ac:dyDescent="0.25">
      <c r="A19" s="3" t="s">
        <v>18</v>
      </c>
      <c r="B19" s="3"/>
      <c r="C19" s="8">
        <v>0</v>
      </c>
      <c r="D19" s="8">
        <v>0</v>
      </c>
      <c r="E19" s="8">
        <v>0</v>
      </c>
      <c r="F19" s="3"/>
      <c r="G19" s="8">
        <v>0</v>
      </c>
      <c r="H19" s="8"/>
      <c r="I19" s="8"/>
      <c r="K19" s="29" t="s">
        <v>29</v>
      </c>
      <c r="L19" s="28">
        <v>4024085.9999999995</v>
      </c>
    </row>
    <row r="20" spans="1:12" ht="13.9" x14ac:dyDescent="0.25">
      <c r="A20" s="3"/>
      <c r="B20" s="3"/>
      <c r="C20" s="8"/>
      <c r="D20" s="8"/>
      <c r="E20" s="8"/>
      <c r="F20" s="3"/>
      <c r="G20" s="8"/>
      <c r="H20" s="8"/>
      <c r="I20" s="8"/>
      <c r="K20" s="29" t="s">
        <v>30</v>
      </c>
      <c r="L20" s="28">
        <v>4843000</v>
      </c>
    </row>
    <row r="21" spans="1:12" s="2" customFormat="1" ht="14.45" thickBot="1" x14ac:dyDescent="0.3">
      <c r="A21" s="1" t="s">
        <v>19</v>
      </c>
      <c r="B21" s="1"/>
      <c r="C21" s="15">
        <f>SUM(C13:C20)</f>
        <v>149376379</v>
      </c>
      <c r="D21" s="15" t="e">
        <f>SUM(D13:D20)</f>
        <v>#REF!</v>
      </c>
      <c r="E21" s="15" t="e">
        <f>SUM(E13:E20)</f>
        <v>#REF!</v>
      </c>
      <c r="F21" s="1"/>
      <c r="G21" s="15">
        <f>SUM(G13:G20)</f>
        <v>150568379</v>
      </c>
      <c r="H21" s="15">
        <f>SUM(H13:H20)</f>
        <v>-1192000</v>
      </c>
      <c r="I21" s="15"/>
      <c r="J21" s="28"/>
    </row>
    <row r="22" spans="1:12" ht="13.9" hidden="1" x14ac:dyDescent="0.25">
      <c r="A22" s="3"/>
      <c r="B22" s="3"/>
      <c r="C22" s="13"/>
      <c r="D22" s="13"/>
      <c r="E22" s="13"/>
      <c r="F22" s="3"/>
      <c r="G22" s="13"/>
      <c r="H22" s="13"/>
      <c r="I22" s="13"/>
      <c r="J22" s="28"/>
    </row>
    <row r="23" spans="1:12" ht="13.9" hidden="1" x14ac:dyDescent="0.25">
      <c r="A23" s="3" t="s">
        <v>20</v>
      </c>
      <c r="B23" s="3"/>
      <c r="C23" s="13">
        <f>'[2]Consol TB'!I1063</f>
        <v>-130320900</v>
      </c>
      <c r="D23" s="13">
        <f>'[2]Consol TB'!J1063</f>
        <v>-134459303.80000001</v>
      </c>
      <c r="E23" s="13">
        <f>'[2]Consol TB'!K1063</f>
        <v>-137950310.72420001</v>
      </c>
      <c r="F23" s="3"/>
      <c r="G23" s="13" t="e">
        <f>'[2]Consol TB'!M1063</f>
        <v>#REF!</v>
      </c>
      <c r="H23" s="13"/>
      <c r="I23" s="13"/>
      <c r="J23" s="28"/>
    </row>
    <row r="24" spans="1:12" ht="13.9" hidden="1" x14ac:dyDescent="0.25">
      <c r="A24" s="3"/>
      <c r="B24" s="3"/>
      <c r="F24" s="3"/>
      <c r="J24" s="28"/>
    </row>
    <row r="25" spans="1:12" s="2" customFormat="1" ht="13.9" hidden="1" x14ac:dyDescent="0.25">
      <c r="A25" s="1" t="s">
        <v>21</v>
      </c>
      <c r="B25" s="1"/>
      <c r="C25" s="16">
        <f>+C21+C23</f>
        <v>19055479</v>
      </c>
      <c r="D25" s="16" t="e">
        <f>+D21+D23</f>
        <v>#REF!</v>
      </c>
      <c r="E25" s="16" t="e">
        <f>+E21+E23</f>
        <v>#REF!</v>
      </c>
      <c r="F25" s="1"/>
      <c r="G25" s="16" t="e">
        <f>+G21+G23</f>
        <v>#REF!</v>
      </c>
      <c r="H25" s="16"/>
      <c r="I25" s="16"/>
      <c r="J25" s="28"/>
    </row>
    <row r="26" spans="1:12" ht="13.9" hidden="1" x14ac:dyDescent="0.25">
      <c r="A26" s="3"/>
      <c r="B26" s="3"/>
      <c r="F26" s="3"/>
      <c r="J26" s="28"/>
    </row>
    <row r="27" spans="1:12" ht="13.9" x14ac:dyDescent="0.25">
      <c r="A27" s="3"/>
      <c r="B27" s="3"/>
      <c r="C27" s="3"/>
      <c r="D27" s="3"/>
      <c r="E27" s="3"/>
      <c r="F27" s="3"/>
      <c r="G27" s="3"/>
      <c r="H27" s="3"/>
      <c r="I27" s="3"/>
      <c r="J27" s="28"/>
    </row>
    <row r="28" spans="1:12" ht="41.45" x14ac:dyDescent="0.25">
      <c r="A28" s="3" t="s">
        <v>22</v>
      </c>
      <c r="B28" s="17">
        <f>C28/$C$38</f>
        <v>0.64590556786833031</v>
      </c>
      <c r="C28" s="8">
        <v>115799481</v>
      </c>
      <c r="D28" s="8" t="e">
        <f>GETPIVOTDATA("Sum of Draft Budget 2021/22",[1]Sheet6!$A$3,"I/s Category","02 Expenditure","Item Description ","05 Employee Costs")</f>
        <v>#REF!</v>
      </c>
      <c r="E28" s="8" t="e">
        <f>GETPIVOTDATA("Sum of Draft Budget 2022/23",[1]Sheet6!$A$3,"I/s Category","02 Expenditure","Item Description ","05 Employee Costs")</f>
        <v>#REF!</v>
      </c>
      <c r="F28" s="17">
        <f>C28/$C$21</f>
        <v>0.77521949437534565</v>
      </c>
      <c r="G28" s="8">
        <f>L12</f>
        <v>118487139.55499999</v>
      </c>
      <c r="H28" s="8">
        <f>G28-C28</f>
        <v>2687658.5549999923</v>
      </c>
      <c r="I28" s="48" t="s">
        <v>47</v>
      </c>
      <c r="J28" s="28"/>
    </row>
    <row r="29" spans="1:12" ht="13.9" x14ac:dyDescent="0.25">
      <c r="A29" s="3" t="s">
        <v>23</v>
      </c>
      <c r="B29" s="17">
        <f t="shared" ref="B29:B36" si="2">C29/$C$38</f>
        <v>4.9903110943259311E-2</v>
      </c>
      <c r="C29" s="8">
        <v>8946748</v>
      </c>
      <c r="D29" s="8" t="e">
        <f>GETPIVOTDATA("Sum of Draft Budget 2021/22",[1]Sheet6!$A$3,"I/s Category","02 Expenditure","Item Description ","06 Councillors Remuneration")</f>
        <v>#REF!</v>
      </c>
      <c r="E29" s="8" t="e">
        <f>GETPIVOTDATA("Sum of Draft Budget 2022/23",[1]Sheet6!$A$3,"I/s Category","02 Expenditure","Item Description ","06 Councillors Remuneration")</f>
        <v>#REF!</v>
      </c>
      <c r="F29" s="17">
        <f>C29/$C$21</f>
        <v>5.9893994351007798E-2</v>
      </c>
      <c r="G29" s="8">
        <f>L13</f>
        <v>9125682.9600000009</v>
      </c>
      <c r="H29" s="8">
        <f t="shared" ref="H29:H36" si="3">G29-C29</f>
        <v>178934.96000000089</v>
      </c>
      <c r="I29" s="8"/>
      <c r="J29" s="49"/>
    </row>
    <row r="30" spans="1:12" ht="41.45" x14ac:dyDescent="0.25">
      <c r="A30" s="3" t="s">
        <v>24</v>
      </c>
      <c r="B30" s="17">
        <f t="shared" si="2"/>
        <v>0.17813768941910452</v>
      </c>
      <c r="C30" s="8">
        <v>31936947.144379813</v>
      </c>
      <c r="D30" s="8" t="e">
        <f>GETPIVOTDATA("Sum of Draft Budget 2021/22",[1]Sheet6!$A$3,"I/s Category","02 Expenditure","Item Description ","12 Genera Expenses")+GETPIVOTDATA("Sum of Draft Budget 2021/22",[1]Sheet6!$A$3,"I/s Category","02 Expenditure","Item Description ","Repairs")</f>
        <v>#REF!</v>
      </c>
      <c r="E30" s="8" t="e">
        <f>GETPIVOTDATA("Sum of Draft Budget 2022/23",[1]Sheet6!$A$3,"I/s Category","02 Expenditure","Item Description ","12 Genera Expenses")+GETPIVOTDATA("Sum of Draft Budget 2022/23",[1]Sheet6!$A$3,"I/s Category","02 Expenditure","Item Description ","Repairs")</f>
        <v>#REF!</v>
      </c>
      <c r="F30" s="17">
        <f t="shared" ref="F30:F36" si="4">C30/$C$21</f>
        <v>0.21380185647946262</v>
      </c>
      <c r="G30" s="8">
        <f>Sheet2!C30-200000</f>
        <v>27931049.726779819</v>
      </c>
      <c r="H30" s="8">
        <f t="shared" si="3"/>
        <v>-4005897.4175999947</v>
      </c>
      <c r="I30" s="48" t="s">
        <v>49</v>
      </c>
    </row>
    <row r="31" spans="1:12" ht="13.9" x14ac:dyDescent="0.25">
      <c r="A31" s="3" t="s">
        <v>25</v>
      </c>
      <c r="B31" s="17">
        <f t="shared" si="2"/>
        <v>1.2814980079034109E-2</v>
      </c>
      <c r="C31" s="8">
        <v>2297500</v>
      </c>
      <c r="D31" s="8" t="e">
        <f>GETPIVOTDATA("Sum of Draft Budget 2020/21",[1]Sheet6!$A$3,"I/s Category","02 Expenditure","Item Description ","09 General Expenses - Councillors")</f>
        <v>#REF!</v>
      </c>
      <c r="E31" s="8" t="e">
        <f>GETPIVOTDATA("Sum of Draft Budget 2022/23",[1]Sheet6!$A$3,"I/s Category","02 Expenditure","Item Description ","09 General Expenses - Councillors")</f>
        <v>#REF!</v>
      </c>
      <c r="F31" s="17">
        <f t="shared" si="4"/>
        <v>1.5380611147362194E-2</v>
      </c>
      <c r="G31" s="8">
        <v>2297500</v>
      </c>
      <c r="H31" s="8">
        <f t="shared" si="3"/>
        <v>0</v>
      </c>
      <c r="I31" s="8"/>
    </row>
    <row r="32" spans="1:12" ht="13.9" x14ac:dyDescent="0.25">
      <c r="A32" s="3" t="s">
        <v>26</v>
      </c>
      <c r="B32" s="17">
        <f t="shared" si="2"/>
        <v>5.8607407969502989E-4</v>
      </c>
      <c r="C32" s="8">
        <v>105072.75</v>
      </c>
      <c r="D32" s="8" t="e">
        <f>GETPIVOTDATA("Sum of Draft Budget 2021/22",[1]Sheet6!$A$3,"I/s Category","02 Expenditure","Item Description ","07 Traditional Leaders remunerarion")</f>
        <v>#REF!</v>
      </c>
      <c r="E32" s="8" t="e">
        <f>GETPIVOTDATA("Sum of Draft Budget 2022/23",[1]Sheet6!$A$3,"I/s Category","02 Expenditure","Item Description ","07 Traditional Leaders remunerarion")</f>
        <v>#REF!</v>
      </c>
      <c r="F32" s="17">
        <f t="shared" si="4"/>
        <v>7.0340940584722573E-4</v>
      </c>
      <c r="G32" s="8">
        <f>L16</f>
        <v>107174.205</v>
      </c>
      <c r="H32" s="8">
        <f t="shared" si="3"/>
        <v>2101.4550000000017</v>
      </c>
      <c r="I32" s="8"/>
    </row>
    <row r="33" spans="1:9" ht="42.75" x14ac:dyDescent="0.2">
      <c r="A33" s="3" t="s">
        <v>38</v>
      </c>
      <c r="B33" s="17">
        <f t="shared" si="2"/>
        <v>2.3838485067628101E-2</v>
      </c>
      <c r="C33" s="8">
        <v>4273820.0999999996</v>
      </c>
      <c r="D33" s="8" t="e">
        <f>GETPIVOTDATA("Sum of Draft Budget 2021/22",[1]Sheet6!$A$3,"I/s Category","02 Expenditure","Item Description ","08 Conttracted Services")</f>
        <v>#REF!</v>
      </c>
      <c r="E33" s="8" t="e">
        <f>GETPIVOTDATA("Sum of Draft Budget 2022/23",[1]Sheet6!$A$3,"I/s Category","02 Expenditure","Item Description ","08 Conttracted Services")</f>
        <v>#REF!</v>
      </c>
      <c r="F33" s="17">
        <f t="shared" si="4"/>
        <v>2.8611083818011144E-2</v>
      </c>
      <c r="G33" s="8">
        <f>L17</f>
        <v>8279717.517599999</v>
      </c>
      <c r="H33" s="8">
        <f t="shared" si="3"/>
        <v>4005897.4175999993</v>
      </c>
      <c r="I33" s="48" t="s">
        <v>49</v>
      </c>
    </row>
    <row r="34" spans="1:9" x14ac:dyDescent="0.2">
      <c r="A34" s="3" t="s">
        <v>28</v>
      </c>
      <c r="B34" s="17">
        <f t="shared" si="2"/>
        <v>4.879295158957473E-2</v>
      </c>
      <c r="C34" s="8">
        <v>8747716</v>
      </c>
      <c r="D34" s="8" t="e">
        <f>GETPIVOTDATA("Sum of Draft Budget 2021/22",[1]Sheet6!$A$3,"I/s Category","02 Expenditure","Item Description ","11 Accounting Cost - Depreciation ")</f>
        <v>#REF!</v>
      </c>
      <c r="E34" s="8" t="e">
        <f>GETPIVOTDATA("Sum of Draft Budget 2022/23",[1]Sheet6!$A$3,"I/s Category","02 Expenditure","Item Description ","11 Accounting Cost - Depreciation ")</f>
        <v>#REF!</v>
      </c>
      <c r="F34" s="17">
        <f t="shared" si="4"/>
        <v>5.8561574852473833E-2</v>
      </c>
      <c r="G34" s="8">
        <f>Sheet2!C34</f>
        <v>8627714.9425712191</v>
      </c>
      <c r="H34" s="8">
        <f t="shared" si="3"/>
        <v>-120001.05742878094</v>
      </c>
      <c r="I34" s="8"/>
    </row>
    <row r="35" spans="1:9" x14ac:dyDescent="0.2">
      <c r="A35" s="3" t="s">
        <v>29</v>
      </c>
      <c r="B35" s="17">
        <f t="shared" si="2"/>
        <v>2.2445519880879238E-2</v>
      </c>
      <c r="C35" s="8">
        <v>4024085.9999999995</v>
      </c>
      <c r="D35" s="8" t="e">
        <f>GETPIVOTDATA("Sum of Draft Budget 2021/22",[1]Sheet6!$A$3,"I/s Category","02 Expenditure","Item Description ","10 Accounting costs - Employee costs")</f>
        <v>#REF!</v>
      </c>
      <c r="E35" s="8" t="e">
        <f>GETPIVOTDATA("Sum of Draft Budget 2022/23",[1]Sheet6!$A$3,"I/s Category","02 Expenditure","Item Description ","10 Accounting costs - Employee costs")</f>
        <v>#REF!</v>
      </c>
      <c r="F35" s="17">
        <f t="shared" si="4"/>
        <v>2.6939239168463171E-2</v>
      </c>
      <c r="G35" s="8">
        <v>4024085.9999999995</v>
      </c>
      <c r="H35" s="8">
        <f t="shared" si="3"/>
        <v>0</v>
      </c>
      <c r="I35" s="8"/>
    </row>
    <row r="36" spans="1:9" ht="42.75" x14ac:dyDescent="0.2">
      <c r="A36" s="3" t="s">
        <v>30</v>
      </c>
      <c r="B36" s="17">
        <f t="shared" si="2"/>
        <v>1.7575626650287914E-2</v>
      </c>
      <c r="C36" s="8">
        <v>3151000</v>
      </c>
      <c r="D36" s="8" t="e">
        <f>GETPIVOTDATA("Sum of Draft Budget 2021/22",[1]Sheet6!$A$3,"I/s Category","02 Expenditure","Item Description ","13 Project Expenditure")</f>
        <v>#REF!</v>
      </c>
      <c r="E36" s="8" t="e">
        <f>GETPIVOTDATA("Sum of Draft Budget 2022/23",[1]Sheet6!$A$3,"I/s Category","02 Expenditure","Item Description ","13 Project Expenditure")</f>
        <v>#REF!</v>
      </c>
      <c r="F36" s="17">
        <f t="shared" si="4"/>
        <v>2.1094365930506322E-2</v>
      </c>
      <c r="G36" s="8">
        <f>L20+400000</f>
        <v>5243000</v>
      </c>
      <c r="H36" s="8">
        <f t="shared" si="3"/>
        <v>2092000</v>
      </c>
      <c r="I36" s="48" t="s">
        <v>48</v>
      </c>
    </row>
    <row r="37" spans="1:9" x14ac:dyDescent="0.2">
      <c r="A37" s="3"/>
      <c r="B37" s="3"/>
      <c r="C37" s="8"/>
      <c r="D37" s="3"/>
      <c r="E37" s="3"/>
      <c r="F37" s="3"/>
      <c r="G37" s="8"/>
      <c r="H37" s="8"/>
      <c r="I37" s="8"/>
    </row>
    <row r="38" spans="1:9" s="2" customFormat="1" ht="15.75" thickBot="1" x14ac:dyDescent="0.3">
      <c r="A38" s="1" t="s">
        <v>31</v>
      </c>
      <c r="B38" s="20">
        <f>SUM(B28:B36)</f>
        <v>1.0000000055777933</v>
      </c>
      <c r="C38" s="12">
        <f>SUM(C28:C37)-1</f>
        <v>179282369.99437982</v>
      </c>
      <c r="D38" s="12" t="e">
        <f>SUM(D28:D37)-1</f>
        <v>#REF!</v>
      </c>
      <c r="E38" s="12" t="e">
        <f>SUM(E28:E37)</f>
        <v>#REF!</v>
      </c>
      <c r="F38" s="20">
        <f>SUM(F28:F36)</f>
        <v>1.20020562952848</v>
      </c>
      <c r="G38" s="12">
        <f>SUM(G28:G37)-1</f>
        <v>184123063.90695104</v>
      </c>
      <c r="H38" s="12">
        <f>SUM(H28:H37)-1</f>
        <v>4840692.9125712169</v>
      </c>
      <c r="I38" s="12"/>
    </row>
    <row r="39" spans="1:9" ht="15" thickTop="1" x14ac:dyDescent="0.2">
      <c r="A39" s="3"/>
      <c r="B39" s="3"/>
      <c r="D39" s="8"/>
      <c r="E39" s="8"/>
      <c r="F39" s="9"/>
    </row>
    <row r="40" spans="1:9" s="2" customFormat="1" ht="15" x14ac:dyDescent="0.25">
      <c r="A40" s="1" t="s">
        <v>32</v>
      </c>
      <c r="B40" s="1"/>
      <c r="C40" s="21">
        <f>C21-C38</f>
        <v>-29905990.994379818</v>
      </c>
      <c r="D40" s="21" t="e">
        <f t="shared" ref="D40:E40" si="5">D21-D38</f>
        <v>#REF!</v>
      </c>
      <c r="E40" s="21" t="e">
        <f t="shared" si="5"/>
        <v>#REF!</v>
      </c>
      <c r="F40" s="1"/>
      <c r="G40" s="21">
        <f>G21-G38</f>
        <v>-33554684.90695104</v>
      </c>
      <c r="H40" s="21">
        <f>H21-H38</f>
        <v>-6032692.9125712169</v>
      </c>
      <c r="I40" s="21"/>
    </row>
    <row r="41" spans="1:9" x14ac:dyDescent="0.2">
      <c r="A41" s="3"/>
      <c r="B41" s="3"/>
      <c r="C41" s="9"/>
      <c r="D41" s="9"/>
      <c r="E41" s="9"/>
      <c r="F41" s="9"/>
      <c r="G41" s="9"/>
      <c r="H41" s="9"/>
      <c r="I41" s="9"/>
    </row>
    <row r="42" spans="1:9" ht="15" x14ac:dyDescent="0.25">
      <c r="A42" s="1" t="s">
        <v>33</v>
      </c>
      <c r="B42" s="3"/>
      <c r="C42" s="22">
        <f>C40+C35+C34</f>
        <v>-17134188.994379818</v>
      </c>
      <c r="D42" s="22" t="e">
        <f t="shared" ref="D42:E42" si="6">D40+D35+D34</f>
        <v>#REF!</v>
      </c>
      <c r="E42" s="22" t="e">
        <f t="shared" si="6"/>
        <v>#REF!</v>
      </c>
      <c r="F42" s="3"/>
      <c r="G42" s="22">
        <f>G40+G35+G34</f>
        <v>-20902883.964379821</v>
      </c>
      <c r="H42" s="22">
        <f>H40+H35+H34</f>
        <v>-6152693.9699999979</v>
      </c>
      <c r="I42" s="22"/>
    </row>
    <row r="43" spans="1:9" x14ac:dyDescent="0.2">
      <c r="C43" s="8"/>
      <c r="F43" s="23"/>
      <c r="G43" s="8"/>
      <c r="H43" s="8"/>
    </row>
    <row r="44" spans="1:9" ht="13.9" x14ac:dyDescent="0.25">
      <c r="C44" s="24"/>
      <c r="E44" s="19"/>
      <c r="F44" s="25"/>
      <c r="G44" s="24"/>
      <c r="H44" s="8"/>
    </row>
    <row r="45" spans="1:9" ht="13.9" hidden="1" x14ac:dyDescent="0.25">
      <c r="C45" s="13"/>
      <c r="D45" s="13"/>
      <c r="E45" s="19"/>
      <c r="G45" s="13"/>
    </row>
    <row r="46" spans="1:9" ht="13.9" hidden="1" x14ac:dyDescent="0.25">
      <c r="A46" s="4" t="s">
        <v>34</v>
      </c>
      <c r="C46" s="24">
        <f>C28+C35</f>
        <v>119823567</v>
      </c>
      <c r="D46" s="24" t="e">
        <f t="shared" ref="D46:E46" si="7">D28+D35</f>
        <v>#REF!</v>
      </c>
      <c r="E46" s="24" t="e">
        <f t="shared" si="7"/>
        <v>#REF!</v>
      </c>
      <c r="G46" s="24">
        <f>G28+G35</f>
        <v>122511225.55499999</v>
      </c>
    </row>
    <row r="47" spans="1:9" ht="13.9" hidden="1" x14ac:dyDescent="0.25">
      <c r="C47" s="24"/>
      <c r="D47" s="10"/>
      <c r="E47" s="10"/>
      <c r="G47" s="24"/>
    </row>
    <row r="48" spans="1:9" hidden="1" x14ac:dyDescent="0.2">
      <c r="C48" s="10"/>
      <c r="D48" s="10"/>
      <c r="E48" s="10"/>
      <c r="G48" s="10"/>
    </row>
    <row r="49" spans="3:7" x14ac:dyDescent="0.2">
      <c r="C49" s="10"/>
      <c r="D49" s="10"/>
      <c r="E49" s="10"/>
      <c r="G49" s="10"/>
    </row>
    <row r="50" spans="3:7" x14ac:dyDescent="0.2">
      <c r="C50" s="18"/>
      <c r="D50" s="26"/>
      <c r="G50" s="18"/>
    </row>
    <row r="51" spans="3:7" x14ac:dyDescent="0.2">
      <c r="C51" s="14"/>
      <c r="G51" s="14"/>
    </row>
  </sheetData>
  <mergeCells count="1">
    <mergeCell ref="A2:H2"/>
  </mergeCells>
  <pageMargins left="0.7" right="0.7" top="0.75" bottom="0.75" header="0.3" footer="0.3"/>
  <pageSetup paperSize="9" scale="77" orientation="landscape" r:id="rId1"/>
  <colBreaks count="1" manualBreakCount="1">
    <brk id="9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19" workbookViewId="0">
      <selection activeCell="C30" sqref="C30"/>
    </sheetView>
  </sheetViews>
  <sheetFormatPr defaultRowHeight="15" x14ac:dyDescent="0.25"/>
  <cols>
    <col min="1" max="1" width="48.7109375" style="4" bestFit="1" customWidth="1"/>
    <col min="2" max="2" width="7.7109375" style="4" hidden="1" customWidth="1"/>
    <col min="3" max="3" width="19.42578125" style="4" customWidth="1"/>
    <col min="4" max="4" width="17.85546875" style="4" customWidth="1"/>
    <col min="5" max="5" width="16.28515625" style="4" customWidth="1"/>
  </cols>
  <sheetData>
    <row r="1" spans="1:5" x14ac:dyDescent="0.25">
      <c r="A1" s="30" t="s">
        <v>0</v>
      </c>
      <c r="B1" s="30"/>
      <c r="C1" s="53" t="s">
        <v>1</v>
      </c>
      <c r="D1" s="53"/>
      <c r="E1" s="53"/>
    </row>
    <row r="2" spans="1:5" x14ac:dyDescent="0.25">
      <c r="A2" s="30"/>
      <c r="B2" s="31"/>
      <c r="C2" s="53"/>
      <c r="D2" s="53"/>
      <c r="E2" s="53"/>
    </row>
    <row r="3" spans="1:5" ht="14.45" x14ac:dyDescent="0.3">
      <c r="A3" s="32" t="s">
        <v>2</v>
      </c>
      <c r="B3" s="32"/>
      <c r="C3" s="32" t="s">
        <v>3</v>
      </c>
      <c r="D3" s="32" t="s">
        <v>4</v>
      </c>
      <c r="E3" s="32" t="s">
        <v>5</v>
      </c>
    </row>
    <row r="4" spans="1:5" ht="14.45" x14ac:dyDescent="0.3">
      <c r="A4" s="31" t="s">
        <v>6</v>
      </c>
      <c r="B4" s="31"/>
      <c r="C4" s="33">
        <v>39964000</v>
      </c>
      <c r="D4" s="33">
        <v>42910000</v>
      </c>
      <c r="E4" s="33">
        <v>45457000</v>
      </c>
    </row>
    <row r="5" spans="1:5" ht="14.45" x14ac:dyDescent="0.3">
      <c r="A5" s="31" t="s">
        <v>7</v>
      </c>
      <c r="B5" s="31"/>
      <c r="C5" s="33">
        <v>88678000</v>
      </c>
      <c r="D5" s="33">
        <v>91165000</v>
      </c>
      <c r="E5" s="33">
        <v>93367000</v>
      </c>
    </row>
    <row r="6" spans="1:5" ht="14.45" x14ac:dyDescent="0.3">
      <c r="A6" s="31" t="s">
        <v>8</v>
      </c>
      <c r="B6" s="31"/>
      <c r="C6" s="33">
        <v>6418000</v>
      </c>
      <c r="D6" s="33">
        <v>6726000</v>
      </c>
      <c r="E6" s="33">
        <v>7049000</v>
      </c>
    </row>
    <row r="7" spans="1:5" ht="14.45" x14ac:dyDescent="0.3">
      <c r="A7" s="31" t="s">
        <v>9</v>
      </c>
      <c r="B7" s="31"/>
      <c r="C7" s="33">
        <v>1000000</v>
      </c>
      <c r="D7" s="33">
        <v>1000000</v>
      </c>
      <c r="E7" s="33">
        <v>1000000</v>
      </c>
    </row>
    <row r="8" spans="1:5" ht="14.45" x14ac:dyDescent="0.3">
      <c r="A8" s="31" t="s">
        <v>10</v>
      </c>
      <c r="B8" s="31"/>
      <c r="C8" s="33">
        <v>2151000</v>
      </c>
      <c r="D8" s="33">
        <v>2269000</v>
      </c>
      <c r="E8" s="33">
        <v>2400000</v>
      </c>
    </row>
    <row r="9" spans="1:5" ht="14.45" x14ac:dyDescent="0.3">
      <c r="A9" s="31" t="s">
        <v>11</v>
      </c>
      <c r="B9" s="31"/>
      <c r="C9" s="33">
        <v>1000000</v>
      </c>
      <c r="D9" s="33">
        <v>0</v>
      </c>
      <c r="E9" s="33">
        <v>0</v>
      </c>
    </row>
    <row r="10" spans="1:5" ht="14.45" x14ac:dyDescent="0.3">
      <c r="A10" s="31" t="s">
        <v>12</v>
      </c>
      <c r="B10" s="31"/>
      <c r="C10" s="33">
        <v>300000</v>
      </c>
      <c r="D10" s="33">
        <v>500000</v>
      </c>
      <c r="E10" s="33">
        <v>0</v>
      </c>
    </row>
    <row r="11" spans="1:5" ht="14.45" x14ac:dyDescent="0.3">
      <c r="A11" s="31" t="s">
        <v>39</v>
      </c>
      <c r="B11" s="31"/>
      <c r="C11" s="33">
        <v>1192000</v>
      </c>
      <c r="D11" s="33"/>
      <c r="E11" s="33"/>
    </row>
    <row r="12" spans="1:5" ht="14.45" x14ac:dyDescent="0.3">
      <c r="A12" s="31"/>
      <c r="B12" s="31"/>
      <c r="C12" s="33"/>
      <c r="D12" s="33"/>
      <c r="E12" s="33"/>
    </row>
    <row r="13" spans="1:5" thickBot="1" x14ac:dyDescent="0.35">
      <c r="A13" s="30" t="s">
        <v>13</v>
      </c>
      <c r="B13" s="34"/>
      <c r="C13" s="35">
        <f>SUM(C4:C12)</f>
        <v>140703000</v>
      </c>
      <c r="D13" s="35">
        <f>SUM(D4:D12)</f>
        <v>144570000</v>
      </c>
      <c r="E13" s="35">
        <f>SUM(E4:E12)</f>
        <v>149273000</v>
      </c>
    </row>
    <row r="14" spans="1:5" thickTop="1" x14ac:dyDescent="0.3">
      <c r="A14" s="31"/>
      <c r="B14" s="31"/>
      <c r="C14" s="33"/>
      <c r="D14" s="33"/>
      <c r="E14" s="33"/>
    </row>
    <row r="15" spans="1:5" ht="14.45" x14ac:dyDescent="0.3">
      <c r="A15" s="31" t="s">
        <v>14</v>
      </c>
      <c r="B15" s="31"/>
      <c r="C15" s="33">
        <f>-GETPIVOTDATA("Sum of Draft Budget 2020/21",[3]Sheet6!$A$3,"I/s Category","01 Income","Item Description ","02 Investment Income")</f>
        <v>8799744.3599999994</v>
      </c>
      <c r="D15" s="33">
        <f>-GETPIVOTDATA("Sum of Draft Budget 2021/22",[3]Sheet6!$A$3,"I/s Category","01 Income","Item Description ","02 Investment Income")</f>
        <v>9204532.6005600002</v>
      </c>
      <c r="E15" s="33">
        <f>-GETPIVOTDATA("Sum of Draft Budget 2022/23",[3]Sheet6!$A$3,"I/s Category","01 Income","Item Description ","02 Investment Income")</f>
        <v>9627941.1001857594</v>
      </c>
    </row>
    <row r="16" spans="1:5" ht="14.45" x14ac:dyDescent="0.3">
      <c r="A16" s="31" t="s">
        <v>15</v>
      </c>
      <c r="B16" s="31"/>
      <c r="C16" s="33">
        <f>-GETPIVOTDATA("Sum of Draft Budget 2020/21",[3]Sheet6!$A$3,"I/s Category","01 Income","Item Description ","03 Service Charges ")</f>
        <v>864969.97517585277</v>
      </c>
      <c r="D16" s="33">
        <f>-GETPIVOTDATA("Sum of Draft Budget 2021/22",[3]Sheet6!$A$3,"I/s Category","01 Income","Item Description ","03 Service Charges ")</f>
        <v>904758.59403394209</v>
      </c>
      <c r="E16" s="33">
        <f>-GETPIVOTDATA("Sum of Draft Budget 2022/23",[3]Sheet6!$A$3,"I/s Category","01 Income","Item Description ","03 Service Charges ")</f>
        <v>946377.48935950338</v>
      </c>
    </row>
    <row r="17" spans="1:5" ht="14.45" x14ac:dyDescent="0.3">
      <c r="A17" s="31" t="s">
        <v>16</v>
      </c>
      <c r="B17" s="31"/>
      <c r="C17" s="33">
        <f>-GETPIVOTDATA("Sum of Draft Budget 2020/21",[3]Sheet6!$A$3,"I/s Category","01 Income","Item Description ","04 Other Income")</f>
        <v>200664.6</v>
      </c>
      <c r="D17" s="33">
        <f>-GETPIVOTDATA("Sum of Draft Budget 2021/22",[3]Sheet6!$A$3,"I/s Category","01 Income","Item Description ","04 Other Income")</f>
        <v>209895.1716</v>
      </c>
      <c r="E17" s="33">
        <f>-GETPIVOTDATA("Sum of Draft Budget 2022/23",[3]Sheet6!$A$3,"I/s Category","01 Income","Item Description ","04 Other Income")</f>
        <v>219550.34949360002</v>
      </c>
    </row>
    <row r="18" spans="1:5" ht="14.45" x14ac:dyDescent="0.3">
      <c r="A18" s="31" t="s">
        <v>17</v>
      </c>
      <c r="B18" s="31"/>
      <c r="C18" s="33">
        <v>0</v>
      </c>
      <c r="D18" s="33">
        <v>0</v>
      </c>
      <c r="E18" s="33">
        <v>0</v>
      </c>
    </row>
    <row r="19" spans="1:5" ht="14.45" x14ac:dyDescent="0.3">
      <c r="A19" s="31" t="s">
        <v>18</v>
      </c>
      <c r="B19" s="31"/>
      <c r="C19" s="33">
        <v>0</v>
      </c>
      <c r="D19" s="33">
        <v>0</v>
      </c>
      <c r="E19" s="33">
        <v>0</v>
      </c>
    </row>
    <row r="20" spans="1:5" ht="14.45" x14ac:dyDescent="0.3">
      <c r="A20" s="31"/>
      <c r="B20" s="31"/>
      <c r="C20" s="33"/>
      <c r="D20" s="33"/>
      <c r="E20" s="33"/>
    </row>
    <row r="21" spans="1:5" thickBot="1" x14ac:dyDescent="0.35">
      <c r="A21" s="30" t="s">
        <v>19</v>
      </c>
      <c r="B21" s="30"/>
      <c r="C21" s="36">
        <f>SUM(C13:C20)</f>
        <v>150568378.93517587</v>
      </c>
      <c r="D21" s="36">
        <f>SUM(D13:D20)</f>
        <v>154889186.36619398</v>
      </c>
      <c r="E21" s="36">
        <f>SUM(E13:E20)</f>
        <v>160066868.93903884</v>
      </c>
    </row>
    <row r="22" spans="1:5" ht="14.45" hidden="1" x14ac:dyDescent="0.3">
      <c r="A22" s="31"/>
      <c r="B22" s="31"/>
      <c r="C22" s="37"/>
      <c r="D22" s="37"/>
      <c r="E22" s="37"/>
    </row>
    <row r="23" spans="1:5" ht="14.45" hidden="1" x14ac:dyDescent="0.3">
      <c r="A23" s="31" t="s">
        <v>20</v>
      </c>
      <c r="B23" s="31"/>
      <c r="C23" s="37">
        <f>'[2]Consol TB'!I1063</f>
        <v>-130320900</v>
      </c>
      <c r="D23" s="37">
        <f>'[2]Consol TB'!J1063</f>
        <v>-134459303.80000001</v>
      </c>
      <c r="E23" s="37">
        <f>'[2]Consol TB'!K1063</f>
        <v>-137950310.72420001</v>
      </c>
    </row>
    <row r="24" spans="1:5" ht="14.45" hidden="1" x14ac:dyDescent="0.3">
      <c r="A24" s="31"/>
      <c r="B24" s="31"/>
      <c r="C24" s="38"/>
      <c r="D24" s="38"/>
      <c r="E24" s="38"/>
    </row>
    <row r="25" spans="1:5" ht="14.45" hidden="1" x14ac:dyDescent="0.3">
      <c r="A25" s="30" t="s">
        <v>21</v>
      </c>
      <c r="B25" s="30"/>
      <c r="C25" s="39">
        <f>+C21+C23</f>
        <v>20247478.935175866</v>
      </c>
      <c r="D25" s="39">
        <f>+D21+D23</f>
        <v>20429882.566193968</v>
      </c>
      <c r="E25" s="39">
        <f>+E21+E23</f>
        <v>22116558.214838833</v>
      </c>
    </row>
    <row r="26" spans="1:5" ht="14.45" hidden="1" x14ac:dyDescent="0.3">
      <c r="A26" s="31"/>
      <c r="B26" s="31"/>
      <c r="C26" s="38"/>
      <c r="D26" s="38"/>
      <c r="E26" s="38"/>
    </row>
    <row r="27" spans="1:5" ht="14.45" x14ac:dyDescent="0.3">
      <c r="A27" s="31"/>
      <c r="B27" s="31"/>
      <c r="C27" s="31"/>
      <c r="D27" s="31"/>
      <c r="E27" s="31"/>
    </row>
    <row r="28" spans="1:5" ht="14.45" x14ac:dyDescent="0.3">
      <c r="A28" s="31" t="s">
        <v>22</v>
      </c>
      <c r="B28" s="40">
        <f>C28/$C$38</f>
        <v>0.64422121422979395</v>
      </c>
      <c r="C28" s="33">
        <f>GETPIVOTDATA("Sum of Draft Budget 2020/21",[3]Sheet6!$A$3,"I/s Category","02 Expenditure","Item Description ","05 Employee Costs")</f>
        <v>118487139.55499999</v>
      </c>
      <c r="D28" s="33">
        <f>GETPIVOTDATA("Sum of Draft Budget 2021/22",[3]Sheet6!$A$3,"I/s Category","02 Expenditure","Item Description ","05 Employee Costs")</f>
        <v>125891343.00374992</v>
      </c>
      <c r="E28" s="33">
        <f>GETPIVOTDATA("Sum of Draft Budget 2022/23",[3]Sheet6!$A$3,"I/s Category","02 Expenditure","Item Description ","05 Employee Costs")</f>
        <v>133714926.94148436</v>
      </c>
    </row>
    <row r="29" spans="1:5" ht="14.45" x14ac:dyDescent="0.3">
      <c r="A29" s="31" t="s">
        <v>23</v>
      </c>
      <c r="B29" s="40">
        <f t="shared" ref="B29:B36" si="0">C29/$C$38</f>
        <v>4.961684938337476E-2</v>
      </c>
      <c r="C29" s="33">
        <f>GETPIVOTDATA("Sum of Draft Budget 2020/21",[3]Sheet6!$A$3,"I/s Category","02 Expenditure","Item Description ","06 Councillors Remuneration")</f>
        <v>9125682.9600000009</v>
      </c>
      <c r="D29" s="33">
        <f>GETPIVOTDATA("Sum of Draft Budget 2021/22",[3]Sheet6!$A$3,"I/s Category","02 Expenditure","Item Description ","06 Councillors Remuneration")</f>
        <v>9696038.1449999996</v>
      </c>
      <c r="E29" s="33">
        <f>GETPIVOTDATA("Sum of Draft Budget 2022/23",[3]Sheet6!$A$3,"I/s Category","02 Expenditure","Item Description ","06 Councillors Remuneration")</f>
        <v>10302040.5290625</v>
      </c>
    </row>
    <row r="30" spans="1:5" ht="14.45" x14ac:dyDescent="0.3">
      <c r="A30" s="31" t="s">
        <v>24</v>
      </c>
      <c r="B30" s="40">
        <f t="shared" si="0"/>
        <v>0.15295009298568268</v>
      </c>
      <c r="C30" s="33">
        <f>GETPIVOTDATA("Sum of Draft Budget 2020/21",[3]Sheet6!$A$3,"I/s Category","02 Expenditure","Item Description ","12 Genera Expenses")+GETPIVOTDATA("Sum of Draft Budget 2020/21",[3]Sheet6!$A$3,"I/s Category","02 Expenditure","Item Description ","15 Repairs and maintanance")</f>
        <v>28131049.726779819</v>
      </c>
      <c r="D30" s="33">
        <f>GETPIVOTDATA("Sum of Draft Budget 2021/22",[3]Sheet6!$A$3,"I/s Category","02 Expenditure","Item Description ","12 Genera Expenses")+GETPIVOTDATA("Sum of Draft Budget 2021/22",[3]Sheet6!$A$3,"I/s Category","02 Expenditure","Item Description ","15 Repairs and maintanance")</f>
        <v>29264078.202491689</v>
      </c>
      <c r="E30" s="33">
        <f>GETPIVOTDATA("Sum of Draft Budget 2022/23",[3]Sheet6!$A$3,"I/s Category","02 Expenditure","Item Description ","12 Genera Expenses")+GETPIVOTDATA("Sum of Draft Budget 2022/23",[3]Sheet6!$A$3,"I/s Category","02 Expenditure","Item Description ","15 Repairs and maintanance")</f>
        <v>30449225.799806297</v>
      </c>
    </row>
    <row r="31" spans="1:5" ht="14.45" x14ac:dyDescent="0.3">
      <c r="A31" s="31" t="s">
        <v>25</v>
      </c>
      <c r="B31" s="40">
        <f t="shared" si="0"/>
        <v>1.2491636183063662E-2</v>
      </c>
      <c r="C31" s="33">
        <f>GETPIVOTDATA("Sum of Draft Budget 2020/21",[3]Sheet6!$A$3,"I/s Category","02 Expenditure","Item Description ","09 General Expenses - Councillors")</f>
        <v>2297500</v>
      </c>
      <c r="D31" s="33">
        <f>GETPIVOTDATA("Sum of Draft Budget 2021/22",[3]Sheet6!$A$3,"I/s Category","02 Expenditure","Item Description ","09 General Expenses - Councillors")</f>
        <v>2403185</v>
      </c>
      <c r="E31" s="33">
        <f>GETPIVOTDATA("Sum of Draft Budget 2022/23",[3]Sheet6!$A$3,"I/s Category","02 Expenditure","Item Description ","09 General Expenses - Councillors")</f>
        <v>2513731.5100000002</v>
      </c>
    </row>
    <row r="32" spans="1:5" ht="14.45" x14ac:dyDescent="0.3">
      <c r="A32" s="31" t="s">
        <v>26</v>
      </c>
      <c r="B32" s="40">
        <f t="shared" si="0"/>
        <v>5.8271215541635805E-4</v>
      </c>
      <c r="C32" s="33">
        <f>GETPIVOTDATA("Sum of Draft Budget 2020/21",[3]Sheet6!$A$3,"I/s Category","02 Expenditure","Item Description ","07 Traditional Leaders remunerarion")</f>
        <v>107174.205</v>
      </c>
      <c r="D32" s="33">
        <f>GETPIVOTDATA("Sum of Draft Budget 2021/22",[3]Sheet6!$A$3,"I/s Category","02 Expenditure","Item Description ","07 Traditional Leaders remunerarion")</f>
        <v>113872.59281250001</v>
      </c>
      <c r="E32" s="33">
        <f>GETPIVOTDATA("Sum of Draft Budget 2022/23",[3]Sheet6!$A$3,"I/s Category","02 Expenditure","Item Description ","07 Traditional Leaders remunerarion")</f>
        <v>120989.62986328125</v>
      </c>
    </row>
    <row r="33" spans="1:5" ht="14.45" x14ac:dyDescent="0.3">
      <c r="A33" s="31" t="s">
        <v>27</v>
      </c>
      <c r="B33" s="40">
        <f t="shared" si="0"/>
        <v>4.501728789048888E-2</v>
      </c>
      <c r="C33" s="33">
        <f>GETPIVOTDATA("Sum of Draft Budget 2020/21",[3]Sheet6!$A$3,"I/s Category","02 Expenditure","Item Description ","08 Conttracted Services")</f>
        <v>8279717.517599999</v>
      </c>
      <c r="D33" s="33">
        <f>GETPIVOTDATA("Sum of Draft Budget 2021/22",[3]Sheet6!$A$3,"I/s Category","02 Expenditure","Item Description ","08 Conttracted Services")</f>
        <v>8660584.5234095994</v>
      </c>
      <c r="E33" s="33">
        <f>GETPIVOTDATA("Sum of Draft Budget 2022/23",[3]Sheet6!$A$3,"I/s Category","02 Expenditure","Item Description ","08 Conttracted Services")</f>
        <v>9058971.4114864413</v>
      </c>
    </row>
    <row r="34" spans="1:5" ht="14.45" x14ac:dyDescent="0.3">
      <c r="A34" s="31" t="s">
        <v>28</v>
      </c>
      <c r="B34" s="40">
        <f t="shared" si="0"/>
        <v>4.69093693814066E-2</v>
      </c>
      <c r="C34" s="33">
        <f>GETPIVOTDATA("Sum of Draft Budget 2020/21",[3]Sheet6!$A$3,"I/s Category","02 Expenditure","Item Description ","11 Accounting Cost - Depreciation ")</f>
        <v>8627714.9425712191</v>
      </c>
      <c r="D34" s="33">
        <f>GETPIVOTDATA("Sum of Draft Budget 2021/22",[3]Sheet6!$A$3,"I/s Category","02 Expenditure","Item Description ","11 Accounting Cost - Depreciation ")</f>
        <v>9024589.829929499</v>
      </c>
      <c r="E34" s="33">
        <f>GETPIVOTDATA("Sum of Draft Budget 2022/23",[3]Sheet6!$A$3,"I/s Category","02 Expenditure","Item Description ","11 Accounting Cost - Depreciation ")</f>
        <v>9439720.9621062521</v>
      </c>
    </row>
    <row r="35" spans="1:5" ht="14.45" x14ac:dyDescent="0.3">
      <c r="A35" s="31" t="s">
        <v>29</v>
      </c>
      <c r="B35" s="40">
        <f t="shared" si="0"/>
        <v>2.187918097121215E-2</v>
      </c>
      <c r="C35" s="33">
        <f>GETPIVOTDATA("Sum of Draft Budget 2020/21",[3]Sheet6!$A$3,"I/s Category","02 Expenditure","Item Description ","10 Accounting costs - Employee costs")</f>
        <v>4024085.9999999995</v>
      </c>
      <c r="D35" s="33">
        <f>GETPIVOTDATA("Sum of Draft Budget 2021/22",[3]Sheet6!$A$3,"I/s Category","02 Expenditure","Item Description ","10 Accounting costs - Employee costs")</f>
        <v>4209193.9560000002</v>
      </c>
      <c r="E35" s="33">
        <f>GETPIVOTDATA("Sum of Draft Budget 2022/23",[3]Sheet6!$A$3,"I/s Category","02 Expenditure","Item Description ","10 Accounting costs - Employee costs")</f>
        <v>4402816.8779760012</v>
      </c>
    </row>
    <row r="36" spans="1:5" ht="14.45" x14ac:dyDescent="0.3">
      <c r="A36" s="31" t="s">
        <v>30</v>
      </c>
      <c r="B36" s="40">
        <f t="shared" si="0"/>
        <v>2.6331662256616897E-2</v>
      </c>
      <c r="C36" s="33">
        <f>GETPIVOTDATA("Sum of Draft Budget 2020/21",[3]Sheet6!$A$3,"I/s Category","02 Expenditure","Item Description ","13 Project Expenditure")</f>
        <v>4843000</v>
      </c>
      <c r="D36" s="33">
        <f>GETPIVOTDATA("Sum of Draft Budget 2021/22",[3]Sheet6!$A$3,"I/s Category","02 Expenditure","Item Description ","13 Project Expenditure")</f>
        <v>2269000</v>
      </c>
      <c r="E36" s="33">
        <f>GETPIVOTDATA("Sum of Draft Budget 2022/23",[3]Sheet6!$A$3,"I/s Category","02 Expenditure","Item Description ","13 Project Expenditure")</f>
        <v>2400000</v>
      </c>
    </row>
    <row r="37" spans="1:5" ht="14.45" x14ac:dyDescent="0.3">
      <c r="A37" s="31"/>
      <c r="B37" s="31"/>
      <c r="C37" s="33"/>
      <c r="D37" s="31"/>
      <c r="E37" s="31"/>
    </row>
    <row r="38" spans="1:5" thickBot="1" x14ac:dyDescent="0.35">
      <c r="A38" s="30" t="s">
        <v>31</v>
      </c>
      <c r="B38" s="41">
        <f>SUM(B28:B36)</f>
        <v>1.0000000054370559</v>
      </c>
      <c r="C38" s="35">
        <f>SUM(C28:C37)-1</f>
        <v>183923063.90695104</v>
      </c>
      <c r="D38" s="35">
        <f>SUM(D28:D37)-1</f>
        <v>191531884.25339323</v>
      </c>
      <c r="E38" s="35">
        <f>SUM(E28:E37)</f>
        <v>202402423.66178516</v>
      </c>
    </row>
    <row r="39" spans="1:5" thickTop="1" x14ac:dyDescent="0.3">
      <c r="A39" s="31"/>
      <c r="B39" s="31"/>
      <c r="C39" s="38"/>
      <c r="D39" s="33"/>
      <c r="E39" s="33"/>
    </row>
    <row r="40" spans="1:5" ht="14.45" x14ac:dyDescent="0.3">
      <c r="A40" s="30" t="s">
        <v>32</v>
      </c>
      <c r="B40" s="30"/>
      <c r="C40" s="42">
        <f>C21-C38</f>
        <v>-33354684.971775174</v>
      </c>
      <c r="D40" s="42">
        <f t="shared" ref="D40:E40" si="1">D21-D38</f>
        <v>-36642697.887199253</v>
      </c>
      <c r="E40" s="42">
        <f t="shared" si="1"/>
        <v>-42335554.722746313</v>
      </c>
    </row>
    <row r="41" spans="1:5" ht="14.45" x14ac:dyDescent="0.3">
      <c r="A41" s="31"/>
      <c r="B41" s="31"/>
      <c r="C41" s="43"/>
      <c r="D41" s="43"/>
      <c r="E41" s="43"/>
    </row>
    <row r="42" spans="1:5" ht="14.45" x14ac:dyDescent="0.3">
      <c r="A42" s="30" t="s">
        <v>33</v>
      </c>
      <c r="B42" s="31"/>
      <c r="C42" s="44">
        <f>C40+C35+C34</f>
        <v>-20702884.029203955</v>
      </c>
      <c r="D42" s="44">
        <f t="shared" ref="D42:E42" si="2">D40+D35+D34</f>
        <v>-23408914.101269752</v>
      </c>
      <c r="E42" s="44">
        <f t="shared" si="2"/>
        <v>-28493016.882664062</v>
      </c>
    </row>
    <row r="43" spans="1:5" ht="14.45" x14ac:dyDescent="0.3">
      <c r="C43" s="8"/>
    </row>
    <row r="44" spans="1:5" ht="14.45" x14ac:dyDescent="0.3">
      <c r="C44" s="24"/>
      <c r="E44" s="19"/>
    </row>
    <row r="45" spans="1:5" ht="14.45" x14ac:dyDescent="0.3">
      <c r="C45" s="13"/>
      <c r="D45" s="13"/>
      <c r="E45" s="19"/>
    </row>
    <row r="46" spans="1:5" ht="14.45" x14ac:dyDescent="0.3">
      <c r="A46" s="4" t="s">
        <v>34</v>
      </c>
      <c r="C46" s="24">
        <f>C28+C35</f>
        <v>122511225.55499999</v>
      </c>
      <c r="D46" s="24">
        <f t="shared" ref="D46:E46" si="3">D28+D35</f>
        <v>130100536.95974992</v>
      </c>
      <c r="E46" s="24">
        <f t="shared" si="3"/>
        <v>138117743.81946036</v>
      </c>
    </row>
    <row r="47" spans="1:5" ht="14.45" x14ac:dyDescent="0.3">
      <c r="C47" s="24"/>
      <c r="D47" s="10"/>
      <c r="E47" s="10"/>
    </row>
    <row r="48" spans="1:5" ht="14.45" x14ac:dyDescent="0.3">
      <c r="C48" s="10"/>
      <c r="D48" s="10"/>
      <c r="E48" s="10"/>
    </row>
    <row r="49" spans="1:5" ht="14.45" x14ac:dyDescent="0.3">
      <c r="C49" s="10"/>
      <c r="D49" s="10"/>
      <c r="E49" s="10"/>
    </row>
    <row r="50" spans="1:5" ht="28.9" x14ac:dyDescent="0.3">
      <c r="A50" s="45"/>
      <c r="C50" s="46" t="s">
        <v>40</v>
      </c>
      <c r="D50" s="46" t="s">
        <v>41</v>
      </c>
      <c r="E50" s="46" t="s">
        <v>42</v>
      </c>
    </row>
    <row r="51" spans="1:5" x14ac:dyDescent="0.25">
      <c r="A51" s="45" t="s">
        <v>43</v>
      </c>
      <c r="C51" s="45">
        <f>C38</f>
        <v>183923063.90695104</v>
      </c>
      <c r="D51" s="45">
        <f>D38</f>
        <v>191531884.25339323</v>
      </c>
      <c r="E51" s="45">
        <f>E38</f>
        <v>202402423.66178516</v>
      </c>
    </row>
    <row r="52" spans="1:5" x14ac:dyDescent="0.25">
      <c r="A52" s="45" t="s">
        <v>44</v>
      </c>
      <c r="C52" s="45">
        <v>300000</v>
      </c>
      <c r="D52" s="45">
        <v>500000</v>
      </c>
      <c r="E52" s="45">
        <v>0</v>
      </c>
    </row>
    <row r="53" spans="1:5" ht="15.75" thickBot="1" x14ac:dyDescent="0.3">
      <c r="A53" s="45"/>
      <c r="C53" s="47">
        <f>C51+C52</f>
        <v>184223063.90695104</v>
      </c>
      <c r="D53" s="47">
        <f t="shared" ref="D53:E53" si="4">D51+D52</f>
        <v>192031884.25339323</v>
      </c>
      <c r="E53" s="47">
        <f t="shared" si="4"/>
        <v>202402423.66178516</v>
      </c>
    </row>
    <row r="54" spans="1:5" ht="15.75" thickTop="1" x14ac:dyDescent="0.25"/>
  </sheetData>
  <mergeCells count="1">
    <mergeCell ref="C1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0DF7CEFED47C4081EBACCFBCE62303" ma:contentTypeVersion="1" ma:contentTypeDescription="Create a new document." ma:contentTypeScope="" ma:versionID="d248963deac00380932ed576ff414a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AA64AB1-BA71-4BE7-BBAD-34C215EAFC95}"/>
</file>

<file path=customXml/itemProps2.xml><?xml version="1.0" encoding="utf-8"?>
<ds:datastoreItem xmlns:ds="http://schemas.openxmlformats.org/officeDocument/2006/customXml" ds:itemID="{74DF237F-48D6-4565-8F42-B995289C5555}"/>
</file>

<file path=customXml/itemProps3.xml><?xml version="1.0" encoding="utf-8"?>
<ds:datastoreItem xmlns:ds="http://schemas.openxmlformats.org/officeDocument/2006/customXml" ds:itemID="{7523B048-FEE2-486E-8E5F-B6DB9C867D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Takalani Muelelwa</dc:creator>
  <cp:lastModifiedBy>Florence De Vaal</cp:lastModifiedBy>
  <cp:lastPrinted>2020-06-27T09:00:32Z</cp:lastPrinted>
  <dcterms:created xsi:type="dcterms:W3CDTF">2020-03-24T17:47:05Z</dcterms:created>
  <dcterms:modified xsi:type="dcterms:W3CDTF">2020-06-27T09:01:18Z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0x010100050DF7CEFED47C4081EBACCFBCE62303</vt:lpwstr>
  </property>
</Properties>
</file>